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ECG Northwest SBDC\SBDC\Programs + Workshops\CBPP\"/>
    </mc:Choice>
  </mc:AlternateContent>
  <xr:revisionPtr revIDLastSave="0" documentId="8_{77666C3C-6F83-436C-A675-1AB274CC90CF}" xr6:coauthVersionLast="36" xr6:coauthVersionMax="36" xr10:uidLastSave="{00000000-0000-0000-0000-000000000000}"/>
  <bookViews>
    <workbookView xWindow="30396" yWindow="2844" windowWidth="29184" windowHeight="19620" activeTab="1" xr2:uid="{D162AA45-5AAE-2845-ADAC-95B46D895AD4}"/>
  </bookViews>
  <sheets>
    <sheet name="Infrastructure Investment 1" sheetId="4" r:id="rId1"/>
    <sheet name="Infrastructure Investment 2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5" l="1"/>
  <c r="D68" i="5"/>
  <c r="D67" i="5"/>
  <c r="C67" i="5"/>
  <c r="B67" i="5"/>
  <c r="D66" i="5"/>
  <c r="D65" i="5"/>
  <c r="D64" i="5"/>
  <c r="D63" i="5"/>
  <c r="C63" i="5"/>
  <c r="B63" i="5"/>
  <c r="D62" i="5"/>
  <c r="D61" i="5"/>
  <c r="D60" i="5"/>
  <c r="D59" i="5"/>
  <c r="C59" i="5"/>
  <c r="B59" i="5"/>
  <c r="D58" i="5"/>
  <c r="D70" i="5" s="1"/>
  <c r="C43" i="5"/>
  <c r="D43" i="5" s="1"/>
  <c r="E43" i="5" s="1"/>
  <c r="F43" i="5" s="1"/>
  <c r="G43" i="5" s="1"/>
  <c r="H43" i="5" s="1"/>
  <c r="I43" i="5" s="1"/>
  <c r="J43" i="5" s="1"/>
  <c r="K43" i="5" s="1"/>
  <c r="L43" i="5" s="1"/>
  <c r="C41" i="5"/>
  <c r="B40" i="5"/>
  <c r="B46" i="5" s="1"/>
  <c r="B36" i="5"/>
  <c r="F45" i="5" s="1"/>
  <c r="B29" i="5"/>
  <c r="E69" i="5" s="1"/>
  <c r="B26" i="5"/>
  <c r="B22" i="5"/>
  <c r="C68" i="5" s="1"/>
  <c r="B17" i="5"/>
  <c r="B68" i="5" s="1"/>
  <c r="B29" i="4"/>
  <c r="B30" i="4" s="1"/>
  <c r="D69" i="4"/>
  <c r="B69" i="4"/>
  <c r="D68" i="4"/>
  <c r="D67" i="4"/>
  <c r="D66" i="4"/>
  <c r="C66" i="4"/>
  <c r="B66" i="4"/>
  <c r="D65" i="4"/>
  <c r="D64" i="4"/>
  <c r="D63" i="4"/>
  <c r="C63" i="4"/>
  <c r="B63" i="4"/>
  <c r="D62" i="4"/>
  <c r="C62" i="4"/>
  <c r="B62" i="4"/>
  <c r="D61" i="4"/>
  <c r="D60" i="4"/>
  <c r="D59" i="4"/>
  <c r="C59" i="4"/>
  <c r="B59" i="4"/>
  <c r="D58" i="4"/>
  <c r="C43" i="4"/>
  <c r="D43" i="4" s="1"/>
  <c r="E43" i="4" s="1"/>
  <c r="F43" i="4" s="1"/>
  <c r="G43" i="4" s="1"/>
  <c r="H43" i="4" s="1"/>
  <c r="I43" i="4" s="1"/>
  <c r="J43" i="4" s="1"/>
  <c r="K43" i="4" s="1"/>
  <c r="L43" i="4" s="1"/>
  <c r="C41" i="4"/>
  <c r="B40" i="4"/>
  <c r="B46" i="4" s="1"/>
  <c r="B36" i="4"/>
  <c r="F45" i="4" s="1"/>
  <c r="B26" i="4"/>
  <c r="B22" i="4"/>
  <c r="C68" i="4" s="1"/>
  <c r="B17" i="4"/>
  <c r="B68" i="4" s="1"/>
  <c r="F65" i="4" l="1"/>
  <c r="D70" i="4"/>
  <c r="B61" i="4"/>
  <c r="B67" i="4"/>
  <c r="G45" i="5"/>
  <c r="H45" i="5"/>
  <c r="F61" i="5"/>
  <c r="F65" i="5"/>
  <c r="F69" i="5"/>
  <c r="F69" i="4"/>
  <c r="G45" i="4"/>
  <c r="H45" i="4"/>
  <c r="B58" i="4"/>
  <c r="C67" i="4"/>
  <c r="C58" i="4"/>
  <c r="F61" i="4"/>
  <c r="B65" i="4"/>
  <c r="B58" i="5"/>
  <c r="B62" i="5"/>
  <c r="B66" i="5"/>
  <c r="B47" i="5"/>
  <c r="B30" i="5"/>
  <c r="E64" i="5"/>
  <c r="E68" i="5"/>
  <c r="G68" i="5" s="1"/>
  <c r="I45" i="5"/>
  <c r="F68" i="5"/>
  <c r="J45" i="5"/>
  <c r="C58" i="5"/>
  <c r="E59" i="5"/>
  <c r="G59" i="5" s="1"/>
  <c r="C62" i="5"/>
  <c r="G62" i="5" s="1"/>
  <c r="E63" i="5"/>
  <c r="C66" i="5"/>
  <c r="G66" i="5" s="1"/>
  <c r="E67" i="5"/>
  <c r="C45" i="5"/>
  <c r="F59" i="5"/>
  <c r="B61" i="5"/>
  <c r="F63" i="5"/>
  <c r="B65" i="5"/>
  <c r="F67" i="5"/>
  <c r="B69" i="5"/>
  <c r="G69" i="5" s="1"/>
  <c r="E60" i="5"/>
  <c r="F60" i="5"/>
  <c r="K45" i="5"/>
  <c r="D41" i="5"/>
  <c r="D45" i="5"/>
  <c r="L45" i="5"/>
  <c r="E58" i="5"/>
  <c r="C61" i="5"/>
  <c r="E62" i="5"/>
  <c r="C65" i="5"/>
  <c r="E66" i="5"/>
  <c r="C69" i="5"/>
  <c r="F64" i="5"/>
  <c r="C42" i="5"/>
  <c r="D42" i="5" s="1"/>
  <c r="E42" i="5" s="1"/>
  <c r="F42" i="5" s="1"/>
  <c r="G42" i="5" s="1"/>
  <c r="H42" i="5" s="1"/>
  <c r="I42" i="5" s="1"/>
  <c r="J42" i="5" s="1"/>
  <c r="K42" i="5" s="1"/>
  <c r="L42" i="5" s="1"/>
  <c r="E45" i="5"/>
  <c r="F58" i="5"/>
  <c r="B60" i="5"/>
  <c r="F62" i="5"/>
  <c r="B64" i="5"/>
  <c r="F66" i="5"/>
  <c r="C60" i="5"/>
  <c r="E61" i="5"/>
  <c r="C64" i="5"/>
  <c r="E65" i="5"/>
  <c r="E69" i="4"/>
  <c r="B47" i="4"/>
  <c r="E64" i="4"/>
  <c r="E59" i="4"/>
  <c r="D41" i="4"/>
  <c r="D45" i="4"/>
  <c r="L45" i="4"/>
  <c r="E58" i="4"/>
  <c r="C61" i="4"/>
  <c r="E62" i="4"/>
  <c r="C65" i="4"/>
  <c r="E66" i="4"/>
  <c r="C69" i="4"/>
  <c r="G69" i="4" s="1"/>
  <c r="E60" i="4"/>
  <c r="E68" i="4"/>
  <c r="F63" i="4"/>
  <c r="C42" i="4"/>
  <c r="D42" i="4" s="1"/>
  <c r="E42" i="4" s="1"/>
  <c r="F42" i="4" s="1"/>
  <c r="G42" i="4" s="1"/>
  <c r="H42" i="4" s="1"/>
  <c r="I42" i="4" s="1"/>
  <c r="J42" i="4" s="1"/>
  <c r="K42" i="4" s="1"/>
  <c r="L42" i="4" s="1"/>
  <c r="E45" i="4"/>
  <c r="F58" i="4"/>
  <c r="B60" i="4"/>
  <c r="F62" i="4"/>
  <c r="B64" i="4"/>
  <c r="F66" i="4"/>
  <c r="I45" i="4"/>
  <c r="F60" i="4"/>
  <c r="F64" i="4"/>
  <c r="F68" i="4"/>
  <c r="J45" i="4"/>
  <c r="E63" i="4"/>
  <c r="E67" i="4"/>
  <c r="G67" i="4" s="1"/>
  <c r="C45" i="4"/>
  <c r="K45" i="4"/>
  <c r="F59" i="4"/>
  <c r="F67" i="4"/>
  <c r="C60" i="4"/>
  <c r="E61" i="4"/>
  <c r="C64" i="4"/>
  <c r="E65" i="4"/>
  <c r="G63" i="5" l="1"/>
  <c r="G66" i="4"/>
  <c r="G59" i="4"/>
  <c r="C70" i="4"/>
  <c r="G62" i="4"/>
  <c r="F70" i="5"/>
  <c r="G58" i="5"/>
  <c r="G60" i="5"/>
  <c r="G67" i="5"/>
  <c r="B70" i="5"/>
  <c r="E70" i="5"/>
  <c r="H44" i="5"/>
  <c r="K44" i="5"/>
  <c r="G44" i="5"/>
  <c r="E44" i="5"/>
  <c r="J44" i="5"/>
  <c r="F44" i="5"/>
  <c r="C44" i="5"/>
  <c r="I44" i="5"/>
  <c r="L44" i="5"/>
  <c r="D44" i="5"/>
  <c r="E41" i="5"/>
  <c r="D46" i="5"/>
  <c r="G61" i="5"/>
  <c r="C70" i="5"/>
  <c r="C46" i="5"/>
  <c r="C47" i="5" s="1"/>
  <c r="G65" i="5"/>
  <c r="G64" i="5"/>
  <c r="G68" i="4"/>
  <c r="G65" i="4"/>
  <c r="G63" i="4"/>
  <c r="G60" i="4"/>
  <c r="F70" i="4"/>
  <c r="B70" i="4"/>
  <c r="G61" i="4"/>
  <c r="G64" i="4"/>
  <c r="H44" i="4"/>
  <c r="G44" i="4"/>
  <c r="D44" i="4"/>
  <c r="D46" i="4" s="1"/>
  <c r="K44" i="4"/>
  <c r="F44" i="4"/>
  <c r="E44" i="4"/>
  <c r="L44" i="4"/>
  <c r="I44" i="4"/>
  <c r="C44" i="4"/>
  <c r="C46" i="4" s="1"/>
  <c r="J44" i="4"/>
  <c r="E70" i="4"/>
  <c r="E41" i="4"/>
  <c r="G58" i="4"/>
  <c r="G70" i="5" l="1"/>
  <c r="F41" i="5"/>
  <c r="E46" i="5"/>
  <c r="D47" i="5"/>
  <c r="E47" i="5" s="1"/>
  <c r="C47" i="4"/>
  <c r="F41" i="4"/>
  <c r="E46" i="4"/>
  <c r="G70" i="4"/>
  <c r="B50" i="5" l="1" a="1"/>
  <c r="B50" i="5" s="1"/>
  <c r="F46" i="5"/>
  <c r="F47" i="5" s="1"/>
  <c r="G41" i="5"/>
  <c r="D47" i="4"/>
  <c r="E47" i="4" s="1"/>
  <c r="B50" i="4" a="1"/>
  <c r="B50" i="4" s="1"/>
  <c r="F46" i="4"/>
  <c r="G41" i="4"/>
  <c r="G46" i="5" l="1"/>
  <c r="H41" i="5"/>
  <c r="G47" i="5"/>
  <c r="G46" i="4"/>
  <c r="H41" i="4"/>
  <c r="F47" i="4"/>
  <c r="G47" i="4" l="1"/>
  <c r="I41" i="5"/>
  <c r="H46" i="5"/>
  <c r="H47" i="5" s="1"/>
  <c r="H46" i="4"/>
  <c r="H47" i="4" s="1"/>
  <c r="I41" i="4"/>
  <c r="I46" i="5" l="1"/>
  <c r="I47" i="5" s="1"/>
  <c r="J41" i="5"/>
  <c r="I46" i="4"/>
  <c r="I47" i="4" s="1"/>
  <c r="J41" i="4"/>
  <c r="J46" i="5" l="1"/>
  <c r="J47" i="5" s="1"/>
  <c r="K41" i="5"/>
  <c r="J46" i="4"/>
  <c r="K41" i="4"/>
  <c r="J47" i="4"/>
  <c r="K46" i="5" l="1"/>
  <c r="K47" i="5" s="1"/>
  <c r="L41" i="5"/>
  <c r="L46" i="5" s="1"/>
  <c r="K46" i="4"/>
  <c r="K47" i="4" s="1"/>
  <c r="L41" i="4"/>
  <c r="L46" i="4" s="1"/>
  <c r="L47" i="5" l="1"/>
  <c r="B53" i="5" s="1"/>
  <c r="B52" i="5"/>
  <c r="B51" i="5"/>
  <c r="B54" i="5" s="1"/>
  <c r="L47" i="4"/>
  <c r="B53" i="4" s="1"/>
  <c r="B52" i="4"/>
  <c r="B51" i="4"/>
  <c r="B54" i="4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<sst xmlns="http://schemas.openxmlformats.org/spreadsheetml/2006/main" count="153" uniqueCount="80">
  <si>
    <t>FARM INVESTMENT ANALYSIS CALCULATOR</t>
  </si>
  <si>
    <t>Basic Information</t>
  </si>
  <si>
    <t>New Freezer for Beef Storage</t>
  </si>
  <si>
    <t>Date:</t>
  </si>
  <si>
    <t>Farm Name:</t>
  </si>
  <si>
    <t>Mountain View Ranch</t>
  </si>
  <si>
    <t>Project Name:</t>
  </si>
  <si>
    <t>Investment Details</t>
  </si>
  <si>
    <t>Initial Investment Cost:</t>
  </si>
  <si>
    <t>Expected Useful Life (years):</t>
  </si>
  <si>
    <t>Annual Maintenance Cost:</t>
  </si>
  <si>
    <t>Salvage Value at End of Life:</t>
  </si>
  <si>
    <t>Revenue Projections</t>
  </si>
  <si>
    <t>Current Annual Revenue:</t>
  </si>
  <si>
    <t>Expected Annual Revenue After Investment:</t>
  </si>
  <si>
    <t>Annual Revenue Increase:</t>
  </si>
  <si>
    <t>Operating Cost Changes</t>
  </si>
  <si>
    <t>Annual Operating Cost Increase:</t>
  </si>
  <si>
    <t>Expected Annual Operating Costs After Investment:</t>
  </si>
  <si>
    <t>Current Annual Operating Costs:</t>
  </si>
  <si>
    <t>Financing Information</t>
  </si>
  <si>
    <t xml:space="preserve">Amount Financed: </t>
  </si>
  <si>
    <t>Down Payment:</t>
  </si>
  <si>
    <t>Loan Interest Rate (%):</t>
  </si>
  <si>
    <t>Loan Term (years):</t>
  </si>
  <si>
    <t>Monthly Loan Payment:</t>
  </si>
  <si>
    <t>Annual Loan Payment:</t>
  </si>
  <si>
    <t>Additonal Annual Benefits</t>
  </si>
  <si>
    <t>Labor Savings:</t>
  </si>
  <si>
    <t>Reduced Spoilage:</t>
  </si>
  <si>
    <t>Other Benefits:</t>
  </si>
  <si>
    <t>Total Additional Benefits:</t>
  </si>
  <si>
    <t>Annual Cash Flow Analysis</t>
  </si>
  <si>
    <t>Year</t>
  </si>
  <si>
    <t>Initial Investment</t>
  </si>
  <si>
    <t>Annual Revenue Increase</t>
  </si>
  <si>
    <t>Operating Cost Increase</t>
  </si>
  <si>
    <t>Maintenance Costs</t>
  </si>
  <si>
    <t xml:space="preserve">Loan Payments </t>
  </si>
  <si>
    <t>Additional Benefits</t>
  </si>
  <si>
    <t>Annual Net Cash Flow</t>
  </si>
  <si>
    <t>Cumulative Cash Flow</t>
  </si>
  <si>
    <t>Financial Metrics</t>
  </si>
  <si>
    <t>Net Present Value (NPV) @ 5% Discount Rate:</t>
  </si>
  <si>
    <t>Payback Period (years):</t>
  </si>
  <si>
    <t xml:space="preserve">Internal Rate of Return (IRR): </t>
  </si>
  <si>
    <t>Return on Investment (ROI):</t>
  </si>
  <si>
    <t>Profitability Index:</t>
  </si>
  <si>
    <t>Monthly Cash Flow Detail - Year 1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</si>
  <si>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</si>
  <si>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</si>
  <si>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</si>
  <si>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</si>
  <si>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</si>
  <si>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</si>
  <si>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</si>
  <si>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</si>
  <si>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</si>
  <si>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</si>
  <si>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</si>
  <si>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</si>
  <si>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</si>
  <si>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</si>
  <si>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Revenue Increase</t>
  </si>
  <si>
    <t>Net Monthly Cash Flow</t>
  </si>
  <si>
    <t>Loan Payments</t>
  </si>
  <si>
    <t>Instructions for Use:</t>
  </si>
  <si>
    <t>2. Review the calculated</t>
  </si>
  <si>
    <t>financial metrics and</t>
  </si>
  <si>
    <t>evaluate your investment</t>
  </si>
  <si>
    <t>1. Fill in shaded cells</t>
  </si>
  <si>
    <t>with your information</t>
  </si>
  <si>
    <t>Assumptions:</t>
  </si>
  <si>
    <t>1. Projections assume a 1% yearly increase in rvenue and a 3% increase in costs</t>
  </si>
  <si>
    <t>1. Fill in shaded cells with your information</t>
  </si>
  <si>
    <t>2. Review the calculated fiancial metrics and evaluate your investment</t>
  </si>
  <si>
    <t>2. Loan calculations assume equal monthly payments over loan term</t>
  </si>
  <si>
    <t>3. NPV calculation uses a 5% discount rate to represent the farm's cost of capital</t>
  </si>
  <si>
    <t>4. The salvage value is included in year 10 of the 10 year cash flow</t>
  </si>
  <si>
    <t>5. Consult with a financial advisor before making major investment decisions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</si>
</sst>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8" fontId="0" fillId="0" borderId="0" xfId="0" applyNumberFormat="1"/>
    <xf numFmtId="9" fontId="0" fillId="0" borderId="0" xfId="0" applyNumberFormat="1"/>
    <xf numFmtId="10" fontId="0" fillId="0" borderId="0" xfId="0" applyNumberFormat="1"/>
    <xf numFmtId="44" fontId="0" fillId="0" borderId="0" xfId="0" applyNumberFormat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44" fontId="0" fillId="0" borderId="7" xfId="0" applyNumberFormat="1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1" fillId="0" borderId="4" xfId="0" applyFont="1" applyBorder="1"/>
    <xf numFmtId="0" fontId="1" fillId="0" borderId="0" xfId="0" applyFont="1"/>
    <xf numFmtId="44" fontId="0" fillId="2" borderId="0" xfId="0" applyNumberFormat="1" applyFill="1"/>
    <xf numFmtId="10" fontId="0" fillId="2" borderId="0" xfId="0" applyNumberFormat="1" applyFill="1"/>
    <xf numFmtId="0" fontId="0" fillId="2" borderId="0" xfId="0" applyFill="1"/>
    <xf numFmtId="14" fontId="0" fillId="2" borderId="0" xfId="0" applyNumberFormat="1" applyFill="1"/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0" fillId="2" borderId="4" xfId="0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1EAC2-B12D-CC48-8E39-87D3A43B5A3F}">
  <dimension ref="A1:L76"/>
  <sheetViews>
    <sheetView topLeftCell="A4" zoomScaleNormal="100" workbookViewId="0">
      <selection activeCell="G15" sqref="G15"/>
    </sheetView>
  </sheetViews>
  <sheetFormatPr defaultColWidth="11.19921875" defaultRowHeight="15.6" x14ac:dyDescent="0.3"/>
  <cols>
    <col min="1" max="1" width="43.796875" customWidth="1"/>
    <col min="2" max="12" width="21.296875" customWidth="1"/>
  </cols>
  <sheetData>
    <row r="1" spans="1:6" x14ac:dyDescent="0.3">
      <c r="F1" s="15"/>
    </row>
    <row r="2" spans="1:6" ht="16.2" thickBot="1" x14ac:dyDescent="0.35">
      <c r="A2" s="15" t="s">
        <v>0</v>
      </c>
    </row>
    <row r="3" spans="1:6" x14ac:dyDescent="0.3">
      <c r="A3" s="13" t="s">
        <v>1</v>
      </c>
      <c r="B3" s="5"/>
      <c r="C3" s="5"/>
      <c r="D3" s="7"/>
      <c r="F3" s="20" t="s">
        <v>66</v>
      </c>
    </row>
    <row r="4" spans="1:6" x14ac:dyDescent="0.3">
      <c r="A4" s="6" t="s">
        <v>6</v>
      </c>
      <c r="B4" s="18" t="s">
        <v>2</v>
      </c>
      <c r="D4" s="8"/>
      <c r="F4" s="21" t="s">
        <v>70</v>
      </c>
    </row>
    <row r="5" spans="1:6" x14ac:dyDescent="0.3">
      <c r="A5" s="6" t="s">
        <v>4</v>
      </c>
      <c r="B5" s="18" t="s">
        <v>5</v>
      </c>
      <c r="D5" s="8"/>
      <c r="F5" s="21" t="s">
        <v>71</v>
      </c>
    </row>
    <row r="6" spans="1:6" x14ac:dyDescent="0.3">
      <c r="A6" s="6" t="s">
        <v>3</v>
      </c>
      <c r="B6" s="19">
        <v>45758</v>
      </c>
      <c r="D6" s="8"/>
      <c r="F6" s="21"/>
    </row>
    <row r="7" spans="1:6" x14ac:dyDescent="0.3">
      <c r="A7" s="6"/>
      <c r="D7" s="8"/>
      <c r="F7" s="21" t="s">
        <v>67</v>
      </c>
    </row>
    <row r="8" spans="1:6" x14ac:dyDescent="0.3">
      <c r="A8" s="14" t="s">
        <v>7</v>
      </c>
      <c r="D8" s="8"/>
      <c r="F8" s="21" t="s">
        <v>68</v>
      </c>
    </row>
    <row r="9" spans="1:6" ht="16.2" thickBot="1" x14ac:dyDescent="0.35">
      <c r="A9" s="6" t="s">
        <v>8</v>
      </c>
      <c r="B9" s="16">
        <v>15000</v>
      </c>
      <c r="C9" s="4"/>
      <c r="D9" s="8"/>
      <c r="F9" s="22" t="s">
        <v>69</v>
      </c>
    </row>
    <row r="10" spans="1:6" x14ac:dyDescent="0.3">
      <c r="A10" s="6" t="s">
        <v>9</v>
      </c>
      <c r="B10">
        <v>10</v>
      </c>
      <c r="D10" s="8"/>
    </row>
    <row r="11" spans="1:6" x14ac:dyDescent="0.3">
      <c r="A11" s="6" t="s">
        <v>11</v>
      </c>
      <c r="B11" s="16">
        <v>1500</v>
      </c>
      <c r="D11" s="8"/>
    </row>
    <row r="12" spans="1:6" x14ac:dyDescent="0.3">
      <c r="A12" s="6" t="s">
        <v>10</v>
      </c>
      <c r="B12" s="16">
        <v>500</v>
      </c>
      <c r="D12" s="8"/>
    </row>
    <row r="13" spans="1:6" x14ac:dyDescent="0.3">
      <c r="A13" s="6"/>
      <c r="D13" s="8"/>
    </row>
    <row r="14" spans="1:6" x14ac:dyDescent="0.3">
      <c r="A14" s="14" t="s">
        <v>12</v>
      </c>
      <c r="D14" s="8"/>
    </row>
    <row r="15" spans="1:6" x14ac:dyDescent="0.3">
      <c r="A15" s="6" t="s">
        <v>13</v>
      </c>
      <c r="B15" s="16">
        <v>50000</v>
      </c>
      <c r="D15" s="8"/>
    </row>
    <row r="16" spans="1:6" x14ac:dyDescent="0.3">
      <c r="A16" s="6" t="s">
        <v>14</v>
      </c>
      <c r="B16" s="16">
        <v>65000</v>
      </c>
      <c r="D16" s="8"/>
    </row>
    <row r="17" spans="1:4" x14ac:dyDescent="0.3">
      <c r="A17" s="6" t="s">
        <v>15</v>
      </c>
      <c r="B17" s="4">
        <f>B16-B15</f>
        <v>15000</v>
      </c>
      <c r="D17" s="8"/>
    </row>
    <row r="18" spans="1:4" x14ac:dyDescent="0.3">
      <c r="A18" s="6"/>
      <c r="D18" s="8"/>
    </row>
    <row r="19" spans="1:4" x14ac:dyDescent="0.3">
      <c r="A19" s="14" t="s">
        <v>16</v>
      </c>
      <c r="D19" s="8"/>
    </row>
    <row r="20" spans="1:4" x14ac:dyDescent="0.3">
      <c r="A20" s="6" t="s">
        <v>19</v>
      </c>
      <c r="B20" s="16">
        <v>35000</v>
      </c>
      <c r="D20" s="8"/>
    </row>
    <row r="21" spans="1:4" x14ac:dyDescent="0.3">
      <c r="A21" s="6" t="s">
        <v>18</v>
      </c>
      <c r="B21" s="16">
        <v>37000</v>
      </c>
      <c r="D21" s="8"/>
    </row>
    <row r="22" spans="1:4" x14ac:dyDescent="0.3">
      <c r="A22" s="6" t="s">
        <v>17</v>
      </c>
      <c r="B22" s="4">
        <f>B21-B20</f>
        <v>2000</v>
      </c>
      <c r="D22" s="8"/>
    </row>
    <row r="23" spans="1:4" x14ac:dyDescent="0.3">
      <c r="A23" s="6"/>
      <c r="D23" s="8"/>
    </row>
    <row r="24" spans="1:4" x14ac:dyDescent="0.3">
      <c r="A24" s="14" t="s">
        <v>20</v>
      </c>
      <c r="D24" s="8"/>
    </row>
    <row r="25" spans="1:4" x14ac:dyDescent="0.3">
      <c r="A25" s="6" t="s">
        <v>21</v>
      </c>
      <c r="B25" s="16">
        <v>10000</v>
      </c>
      <c r="D25" s="8"/>
    </row>
    <row r="26" spans="1:4" x14ac:dyDescent="0.3">
      <c r="A26" s="6" t="s">
        <v>22</v>
      </c>
      <c r="B26" s="16">
        <f>+B9-B25</f>
        <v>5000</v>
      </c>
      <c r="D26" s="8"/>
    </row>
    <row r="27" spans="1:4" x14ac:dyDescent="0.3">
      <c r="A27" s="6" t="s">
        <v>23</v>
      </c>
      <c r="B27" s="17">
        <v>5.5E-2</v>
      </c>
      <c r="D27" s="8"/>
    </row>
    <row r="28" spans="1:4" x14ac:dyDescent="0.3">
      <c r="A28" s="6" t="s">
        <v>24</v>
      </c>
      <c r="B28" s="18">
        <v>5</v>
      </c>
      <c r="D28" s="8"/>
    </row>
    <row r="29" spans="1:4" x14ac:dyDescent="0.3">
      <c r="A29" s="6" t="s">
        <v>25</v>
      </c>
      <c r="B29" s="1">
        <f>PMT(B27/12,B28*12,B25)</f>
        <v>-191.01162171782241</v>
      </c>
      <c r="D29" s="8"/>
    </row>
    <row r="30" spans="1:4" x14ac:dyDescent="0.3">
      <c r="A30" s="6" t="s">
        <v>26</v>
      </c>
      <c r="B30" s="4">
        <f>B29*12</f>
        <v>-2292.1394606138688</v>
      </c>
      <c r="D30" s="8"/>
    </row>
    <row r="31" spans="1:4" x14ac:dyDescent="0.3">
      <c r="A31" s="6"/>
      <c r="D31" s="8"/>
    </row>
    <row r="32" spans="1:4" x14ac:dyDescent="0.3">
      <c r="A32" s="14" t="s">
        <v>27</v>
      </c>
      <c r="D32" s="8"/>
    </row>
    <row r="33" spans="1:12" x14ac:dyDescent="0.3">
      <c r="A33" s="6" t="s">
        <v>28</v>
      </c>
      <c r="B33" s="16">
        <v>1000</v>
      </c>
      <c r="D33" s="8"/>
    </row>
    <row r="34" spans="1:12" x14ac:dyDescent="0.3">
      <c r="A34" s="6" t="s">
        <v>29</v>
      </c>
      <c r="B34" s="16">
        <v>2000</v>
      </c>
      <c r="D34" s="8"/>
    </row>
    <row r="35" spans="1:12" x14ac:dyDescent="0.3">
      <c r="A35" s="6" t="s">
        <v>30</v>
      </c>
      <c r="B35" s="16">
        <v>500</v>
      </c>
      <c r="D35" s="8"/>
    </row>
    <row r="36" spans="1:12" ht="16.2" thickBot="1" x14ac:dyDescent="0.35">
      <c r="A36" s="9" t="s">
        <v>31</v>
      </c>
      <c r="B36" s="10">
        <f>SUM(B33:B35)</f>
        <v>3500</v>
      </c>
      <c r="C36" s="11"/>
      <c r="D36" s="12"/>
    </row>
    <row r="38" spans="1:12" x14ac:dyDescent="0.3">
      <c r="A38" s="15" t="s">
        <v>32</v>
      </c>
    </row>
    <row r="39" spans="1:12" x14ac:dyDescent="0.3">
      <c r="A39" t="s">
        <v>33</v>
      </c>
      <c r="B39">
        <v>0</v>
      </c>
      <c r="C39">
        <v>1</v>
      </c>
      <c r="D39">
        <v>2</v>
      </c>
      <c r="E39">
        <v>3</v>
      </c>
      <c r="F39">
        <v>4</v>
      </c>
      <c r="G39">
        <v>5</v>
      </c>
      <c r="H39">
        <v>6</v>
      </c>
      <c r="I39">
        <v>7</v>
      </c>
      <c r="J39">
        <v>8</v>
      </c>
      <c r="K39">
        <v>9</v>
      </c>
      <c r="L39">
        <v>10</v>
      </c>
    </row>
    <row r="40" spans="1:12" x14ac:dyDescent="0.3">
      <c r="A40" t="s">
        <v>34</v>
      </c>
      <c r="B40" s="4">
        <f>-(B9)</f>
        <v>-15000</v>
      </c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3">
      <c r="A41" t="s">
        <v>35</v>
      </c>
      <c r="B41" s="4"/>
      <c r="C41" s="4">
        <f>B17</f>
        <v>15000</v>
      </c>
      <c r="D41" s="4">
        <f>C41*1.01</f>
        <v>15150</v>
      </c>
      <c r="E41" s="4">
        <f>D41*1.01</f>
        <v>15301.5</v>
      </c>
      <c r="F41" s="4">
        <f t="shared" ref="F41:L41" si="0">E41*1.01</f>
        <v>15454.514999999999</v>
      </c>
      <c r="G41" s="4">
        <f t="shared" si="0"/>
        <v>15609.060149999999</v>
      </c>
      <c r="H41" s="4">
        <f t="shared" si="0"/>
        <v>15765.150751499999</v>
      </c>
      <c r="I41" s="4">
        <f t="shared" si="0"/>
        <v>15922.802259014999</v>
      </c>
      <c r="J41" s="4">
        <f t="shared" si="0"/>
        <v>16082.03028160515</v>
      </c>
      <c r="K41" s="4">
        <f t="shared" si="0"/>
        <v>16242.850584421201</v>
      </c>
      <c r="L41" s="4">
        <f t="shared" si="0"/>
        <v>16405.279090265412</v>
      </c>
    </row>
    <row r="42" spans="1:12" x14ac:dyDescent="0.3">
      <c r="A42" t="s">
        <v>36</v>
      </c>
      <c r="B42" s="4"/>
      <c r="C42" s="4">
        <f>-B22</f>
        <v>-2000</v>
      </c>
      <c r="D42" s="4">
        <f>C42*1.03</f>
        <v>-2060</v>
      </c>
      <c r="E42" s="4">
        <f t="shared" ref="E42:L43" si="1">D42*1.03</f>
        <v>-2121.8000000000002</v>
      </c>
      <c r="F42" s="4">
        <f t="shared" si="1"/>
        <v>-2185.4540000000002</v>
      </c>
      <c r="G42" s="4">
        <f t="shared" si="1"/>
        <v>-2251.0176200000001</v>
      </c>
      <c r="H42" s="4">
        <f t="shared" si="1"/>
        <v>-2318.5481486000003</v>
      </c>
      <c r="I42" s="4">
        <f t="shared" si="1"/>
        <v>-2388.1045930580003</v>
      </c>
      <c r="J42" s="4">
        <f t="shared" si="1"/>
        <v>-2459.7477308497405</v>
      </c>
      <c r="K42" s="4">
        <f t="shared" si="1"/>
        <v>-2533.5401627752326</v>
      </c>
      <c r="L42" s="4">
        <f t="shared" si="1"/>
        <v>-2609.5463676584895</v>
      </c>
    </row>
    <row r="43" spans="1:12" x14ac:dyDescent="0.3">
      <c r="A43" t="s">
        <v>37</v>
      </c>
      <c r="B43" s="4"/>
      <c r="C43" s="4">
        <f>-(B12)</f>
        <v>-500</v>
      </c>
      <c r="D43" s="4">
        <f>C43*1.03</f>
        <v>-515</v>
      </c>
      <c r="E43" s="4">
        <f t="shared" si="1"/>
        <v>-530.45000000000005</v>
      </c>
      <c r="F43" s="4">
        <f t="shared" si="1"/>
        <v>-546.36350000000004</v>
      </c>
      <c r="G43" s="4">
        <f t="shared" si="1"/>
        <v>-562.75440500000002</v>
      </c>
      <c r="H43" s="4">
        <f t="shared" si="1"/>
        <v>-579.63703715000008</v>
      </c>
      <c r="I43" s="4">
        <f t="shared" si="1"/>
        <v>-597.02614826450008</v>
      </c>
      <c r="J43" s="4">
        <f t="shared" si="1"/>
        <v>-614.93693271243512</v>
      </c>
      <c r="K43" s="4">
        <f t="shared" si="1"/>
        <v>-633.38504069380815</v>
      </c>
      <c r="L43" s="4">
        <f t="shared" si="1"/>
        <v>-652.38659191462239</v>
      </c>
    </row>
    <row r="44" spans="1:12" x14ac:dyDescent="0.3">
      <c r="A44" t="s">
        <v>38</v>
      </c>
      <c r="B44" s="4"/>
      <c r="C44" s="4">
        <f>B30</f>
        <v>-2292.1394606138688</v>
      </c>
      <c r="D44" s="4">
        <f>B30</f>
        <v>-2292.1394606138688</v>
      </c>
      <c r="E44" s="4">
        <f>B30</f>
        <v>-2292.1394606138688</v>
      </c>
      <c r="F44" s="4">
        <f>B30</f>
        <v>-2292.1394606138688</v>
      </c>
      <c r="G44" s="4">
        <f>B30</f>
        <v>-2292.1394606138688</v>
      </c>
      <c r="H44" s="4">
        <f>B30</f>
        <v>-2292.1394606138688</v>
      </c>
      <c r="I44" s="4">
        <f>B30</f>
        <v>-2292.1394606138688</v>
      </c>
      <c r="J44" s="4">
        <f>B30</f>
        <v>-2292.1394606138688</v>
      </c>
      <c r="K44" s="4">
        <f>B30</f>
        <v>-2292.1394606138688</v>
      </c>
      <c r="L44" s="4">
        <f>B30</f>
        <v>-2292.1394606138688</v>
      </c>
    </row>
    <row r="45" spans="1:12" x14ac:dyDescent="0.3">
      <c r="A45" t="s">
        <v>39</v>
      </c>
      <c r="B45" s="4"/>
      <c r="C45" s="4">
        <f>B36</f>
        <v>3500</v>
      </c>
      <c r="D45" s="4">
        <f>B36</f>
        <v>3500</v>
      </c>
      <c r="E45" s="4">
        <f>B36</f>
        <v>3500</v>
      </c>
      <c r="F45" s="4">
        <f>B36</f>
        <v>3500</v>
      </c>
      <c r="G45" s="4">
        <f>B36</f>
        <v>3500</v>
      </c>
      <c r="H45" s="4">
        <f>B36</f>
        <v>3500</v>
      </c>
      <c r="I45" s="4">
        <f>B36</f>
        <v>3500</v>
      </c>
      <c r="J45" s="4">
        <f>B36</f>
        <v>3500</v>
      </c>
      <c r="K45" s="4">
        <f>B36</f>
        <v>3500</v>
      </c>
      <c r="L45" s="4">
        <f>B36</f>
        <v>3500</v>
      </c>
    </row>
    <row r="46" spans="1:12" x14ac:dyDescent="0.3">
      <c r="A46" t="s">
        <v>40</v>
      </c>
      <c r="B46" s="4">
        <f>SUM(B40:B45)</f>
        <v>-15000</v>
      </c>
      <c r="C46" s="4">
        <f>SUM(C40:C45)</f>
        <v>13707.860539386131</v>
      </c>
      <c r="D46" s="4">
        <f>SUM(D40:D45)</f>
        <v>13782.860539386131</v>
      </c>
      <c r="E46" s="4">
        <f t="shared" ref="E46:K46" si="2">SUM(E40:E45)</f>
        <v>13857.110539386131</v>
      </c>
      <c r="F46" s="4">
        <f t="shared" si="2"/>
        <v>13930.558039386131</v>
      </c>
      <c r="G46" s="4">
        <f t="shared" si="2"/>
        <v>14003.14866438613</v>
      </c>
      <c r="H46" s="4">
        <f t="shared" si="2"/>
        <v>14074.82610513613</v>
      </c>
      <c r="I46" s="4">
        <f t="shared" si="2"/>
        <v>14145.53205707863</v>
      </c>
      <c r="J46" s="4">
        <f t="shared" si="2"/>
        <v>14215.206157429106</v>
      </c>
      <c r="K46" s="4">
        <f t="shared" si="2"/>
        <v>14283.785920338292</v>
      </c>
      <c r="L46" s="4">
        <f>SUM(L40:L45)+B11</f>
        <v>15851.206670078431</v>
      </c>
    </row>
    <row r="47" spans="1:12" x14ac:dyDescent="0.3">
      <c r="A47" t="s">
        <v>41</v>
      </c>
      <c r="B47" s="4">
        <f>B46</f>
        <v>-15000</v>
      </c>
      <c r="C47" s="4">
        <f>B47+C46</f>
        <v>-1292.1394606138692</v>
      </c>
      <c r="D47" s="4">
        <f t="shared" ref="D47:L47" si="3">C47+D46</f>
        <v>12490.721078772262</v>
      </c>
      <c r="E47" s="4">
        <f t="shared" si="3"/>
        <v>26347.831618158394</v>
      </c>
      <c r="F47" s="4">
        <f t="shared" si="3"/>
        <v>40278.389657544525</v>
      </c>
      <c r="G47" s="4">
        <f t="shared" si="3"/>
        <v>54281.538321930653</v>
      </c>
      <c r="H47" s="4">
        <f t="shared" si="3"/>
        <v>68356.364427066786</v>
      </c>
      <c r="I47" s="4">
        <f>H47+I46</f>
        <v>82501.896484145414</v>
      </c>
      <c r="J47" s="4">
        <f t="shared" si="3"/>
        <v>96717.102641574515</v>
      </c>
      <c r="K47" s="4">
        <f t="shared" si="3"/>
        <v>111000.88856191281</v>
      </c>
      <c r="L47" s="4">
        <f t="shared" si="3"/>
        <v>126852.09523199125</v>
      </c>
    </row>
    <row r="49" spans="1:7" x14ac:dyDescent="0.3">
      <c r="A49" s="15" t="s">
        <v>42</v>
      </c>
    </row>
    <row r="50" spans="1:7" x14ac:dyDescent="0.3">
      <c r="A50" t="s">
        <v>44</v>
      </c>
      <c r="B50" cm="1">
        <f t="array" ref="B50">MATCH(TRUE(),C47:L47&gt;0,0)+(ABS(INDEX(B47:K47,MATCH(TRUE(),C47:L47&gt;0,0)))/INDEX(C46:L46,MATCH(TRUE(),C47:L47&gt;0,0)))</f>
        <v>2.0937497304657064</v>
      </c>
    </row>
    <row r="51" spans="1:7" x14ac:dyDescent="0.3">
      <c r="A51" t="s">
        <v>43</v>
      </c>
      <c r="B51" s="1">
        <f>NPV(0.05,C46:L46)+B46</f>
        <v>94075.347308993427</v>
      </c>
    </row>
    <row r="52" spans="1:7" x14ac:dyDescent="0.3">
      <c r="A52" t="s">
        <v>45</v>
      </c>
      <c r="B52" s="2">
        <f>IRR(B46:L46)</f>
        <v>0.91794269621428515</v>
      </c>
    </row>
    <row r="53" spans="1:7" x14ac:dyDescent="0.3">
      <c r="A53" t="s">
        <v>46</v>
      </c>
      <c r="B53" s="3">
        <f>(L47/ABS(B46))-1</f>
        <v>7.4568063487994163</v>
      </c>
    </row>
    <row r="54" spans="1:7" x14ac:dyDescent="0.3">
      <c r="A54" t="s">
        <v>47</v>
      </c>
      <c r="B54">
        <f>B51/ABS(B46)</f>
        <v>6.2716898205995619</v>
      </c>
      <c r="G54" s="4"/>
    </row>
    <row r="56" spans="1:7" x14ac:dyDescent="0.3">
      <c r="A56" s="15" t="s">
        <v>48</v>
      </c>
    </row>
    <row r="57" spans="1:7" x14ac:dyDescent="0.3">
      <c r="A57" t="s">
        <v>49</v>
      </c>
      <c r="B57" t="s">
        <v>63</v>
      </c>
      <c r="C57" t="s">
        <v>36</v>
      </c>
      <c r="D57" t="s">
        <v>37</v>
      </c>
      <c r="E57" t="s">
        <v>65</v>
      </c>
      <c r="F57" t="s">
        <v>39</v>
      </c>
      <c r="G57" t="s">
        <v>64</v>
      </c>
    </row>
    <row r="58" spans="1:7" x14ac:dyDescent="0.3">
      <c r="A58" t="s">
        <v>50</v>
      </c>
      <c r="B58" s="4">
        <f>B17/12</f>
        <v>1250</v>
      </c>
      <c r="C58" s="4">
        <f>-B22/12</f>
        <v>-166.66666666666666</v>
      </c>
      <c r="D58" s="4">
        <f>-B12/12</f>
        <v>-41.666666666666664</v>
      </c>
      <c r="E58" s="4">
        <f>B29</f>
        <v>-191.01162171782241</v>
      </c>
      <c r="F58" s="4">
        <f>B36/12</f>
        <v>291.66666666666669</v>
      </c>
      <c r="G58" s="4">
        <f t="shared" ref="G58:G69" si="4">SUM(B58:F58)</f>
        <v>1142.3217116155108</v>
      </c>
    </row>
    <row r="59" spans="1:7" x14ac:dyDescent="0.3">
      <c r="A59" t="s">
        <v>51</v>
      </c>
      <c r="B59" s="4">
        <f>B17/12</f>
        <v>1250</v>
      </c>
      <c r="C59" s="4">
        <f>-B22/12</f>
        <v>-166.66666666666666</v>
      </c>
      <c r="D59" s="4">
        <f>-B12/12</f>
        <v>-41.666666666666664</v>
      </c>
      <c r="E59" s="4">
        <f>B29</f>
        <v>-191.01162171782241</v>
      </c>
      <c r="F59" s="4">
        <f>B36/12</f>
        <v>291.66666666666669</v>
      </c>
      <c r="G59" s="4">
        <f t="shared" si="4"/>
        <v>1142.3217116155108</v>
      </c>
    </row>
    <row r="60" spans="1:7" x14ac:dyDescent="0.3">
      <c r="A60" t="s">
        <v>52</v>
      </c>
      <c r="B60" s="4">
        <f>B17/12</f>
        <v>1250</v>
      </c>
      <c r="C60" s="4">
        <f>-B22/12</f>
        <v>-166.66666666666666</v>
      </c>
      <c r="D60" s="4">
        <f>-B12/12</f>
        <v>-41.666666666666664</v>
      </c>
      <c r="E60" s="4">
        <f>B29</f>
        <v>-191.01162171782241</v>
      </c>
      <c r="F60" s="4">
        <f>B36/12</f>
        <v>291.66666666666669</v>
      </c>
      <c r="G60" s="4">
        <f t="shared" si="4"/>
        <v>1142.3217116155108</v>
      </c>
    </row>
    <row r="61" spans="1:7" x14ac:dyDescent="0.3">
      <c r="A61" t="s">
        <v>53</v>
      </c>
      <c r="B61" s="4">
        <f>B17/12</f>
        <v>1250</v>
      </c>
      <c r="C61" s="4">
        <f>-B22/12</f>
        <v>-166.66666666666666</v>
      </c>
      <c r="D61" s="4">
        <f>-B12/12</f>
        <v>-41.666666666666664</v>
      </c>
      <c r="E61" s="4">
        <f>B29</f>
        <v>-191.01162171782241</v>
      </c>
      <c r="F61" s="4">
        <f>B36/12</f>
        <v>291.66666666666669</v>
      </c>
      <c r="G61" s="4">
        <f t="shared" si="4"/>
        <v>1142.3217116155108</v>
      </c>
    </row>
    <row r="62" spans="1:7" x14ac:dyDescent="0.3">
      <c r="A62" t="s">
        <v>54</v>
      </c>
      <c r="B62" s="4">
        <f>B17/12</f>
        <v>1250</v>
      </c>
      <c r="C62" s="4">
        <f>-B22/12</f>
        <v>-166.66666666666666</v>
      </c>
      <c r="D62" s="4">
        <f>-B12/12</f>
        <v>-41.666666666666664</v>
      </c>
      <c r="E62" s="4">
        <f>B29</f>
        <v>-191.01162171782241</v>
      </c>
      <c r="F62" s="4">
        <f>B36/12</f>
        <v>291.66666666666669</v>
      </c>
      <c r="G62" s="4">
        <f t="shared" si="4"/>
        <v>1142.3217116155108</v>
      </c>
    </row>
    <row r="63" spans="1:7" x14ac:dyDescent="0.3">
      <c r="A63" t="s">
        <v>55</v>
      </c>
      <c r="B63" s="4">
        <f>B17/12</f>
        <v>1250</v>
      </c>
      <c r="C63" s="4">
        <f>-B22/12</f>
        <v>-166.66666666666666</v>
      </c>
      <c r="D63" s="4">
        <f>-B12/12</f>
        <v>-41.666666666666664</v>
      </c>
      <c r="E63" s="4">
        <f>B29</f>
        <v>-191.01162171782241</v>
      </c>
      <c r="F63" s="4">
        <f>B36/12</f>
        <v>291.66666666666669</v>
      </c>
      <c r="G63" s="4">
        <f t="shared" si="4"/>
        <v>1142.3217116155108</v>
      </c>
    </row>
    <row r="64" spans="1:7" x14ac:dyDescent="0.3">
      <c r="A64" t="s">
        <v>56</v>
      </c>
      <c r="B64" s="4">
        <f>B17/12</f>
        <v>1250</v>
      </c>
      <c r="C64" s="4">
        <f>-B22/12</f>
        <v>-166.66666666666666</v>
      </c>
      <c r="D64" s="4">
        <f>-B12/12</f>
        <v>-41.666666666666664</v>
      </c>
      <c r="E64" s="4">
        <f>B29</f>
        <v>-191.01162171782241</v>
      </c>
      <c r="F64" s="4">
        <f>B36/12</f>
        <v>291.66666666666669</v>
      </c>
      <c r="G64" s="4">
        <f t="shared" si="4"/>
        <v>1142.3217116155108</v>
      </c>
    </row>
    <row r="65" spans="1:7" x14ac:dyDescent="0.3">
      <c r="A65" t="s">
        <v>57</v>
      </c>
      <c r="B65" s="4">
        <f>B17/12</f>
        <v>1250</v>
      </c>
      <c r="C65" s="4">
        <f>-B22/12</f>
        <v>-166.66666666666666</v>
      </c>
      <c r="D65" s="4">
        <f>-B12/12</f>
        <v>-41.666666666666664</v>
      </c>
      <c r="E65" s="4">
        <f>B29</f>
        <v>-191.01162171782241</v>
      </c>
      <c r="F65" s="4">
        <f>B36/12</f>
        <v>291.66666666666669</v>
      </c>
      <c r="G65" s="4">
        <f t="shared" si="4"/>
        <v>1142.3217116155108</v>
      </c>
    </row>
    <row r="66" spans="1:7" x14ac:dyDescent="0.3">
      <c r="A66" t="s">
        <v>58</v>
      </c>
      <c r="B66" s="4">
        <f>B17/12</f>
        <v>1250</v>
      </c>
      <c r="C66" s="4">
        <f>-B22/12</f>
        <v>-166.66666666666666</v>
      </c>
      <c r="D66" s="4">
        <f>-B12/12</f>
        <v>-41.666666666666664</v>
      </c>
      <c r="E66" s="4">
        <f>B29</f>
        <v>-191.01162171782241</v>
      </c>
      <c r="F66" s="4">
        <f>B36/12</f>
        <v>291.66666666666669</v>
      </c>
      <c r="G66" s="4">
        <f t="shared" si="4"/>
        <v>1142.3217116155108</v>
      </c>
    </row>
    <row r="67" spans="1:7" x14ac:dyDescent="0.3">
      <c r="A67" t="s">
        <v>59</v>
      </c>
      <c r="B67" s="4">
        <f>B17/12</f>
        <v>1250</v>
      </c>
      <c r="C67" s="4">
        <f>-B22/12</f>
        <v>-166.66666666666666</v>
      </c>
      <c r="D67" s="4">
        <f>-B12/12</f>
        <v>-41.666666666666664</v>
      </c>
      <c r="E67" s="4">
        <f>B29</f>
        <v>-191.01162171782241</v>
      </c>
      <c r="F67" s="4">
        <f>B36/12</f>
        <v>291.66666666666669</v>
      </c>
      <c r="G67" s="4">
        <f t="shared" si="4"/>
        <v>1142.3217116155108</v>
      </c>
    </row>
    <row r="68" spans="1:7" x14ac:dyDescent="0.3">
      <c r="A68" t="s">
        <v>60</v>
      </c>
      <c r="B68" s="4">
        <f>B17/12</f>
        <v>1250</v>
      </c>
      <c r="C68" s="4">
        <f>-B22/12</f>
        <v>-166.66666666666666</v>
      </c>
      <c r="D68" s="4">
        <f>-B12/12</f>
        <v>-41.666666666666664</v>
      </c>
      <c r="E68" s="4">
        <f>B29</f>
        <v>-191.01162171782241</v>
      </c>
      <c r="F68" s="4">
        <f>B36/12</f>
        <v>291.66666666666669</v>
      </c>
      <c r="G68" s="4">
        <f t="shared" si="4"/>
        <v>1142.3217116155108</v>
      </c>
    </row>
    <row r="69" spans="1:7" x14ac:dyDescent="0.3">
      <c r="A69" t="s">
        <v>61</v>
      </c>
      <c r="B69" s="4">
        <f>B17/12</f>
        <v>1250</v>
      </c>
      <c r="C69" s="4">
        <f>-B22/12</f>
        <v>-166.66666666666666</v>
      </c>
      <c r="D69" s="4">
        <f>-B12/12</f>
        <v>-41.666666666666664</v>
      </c>
      <c r="E69" s="4">
        <f>B29</f>
        <v>-191.01162171782241</v>
      </c>
      <c r="F69" s="4">
        <f>B36/12</f>
        <v>291.66666666666669</v>
      </c>
      <c r="G69" s="4">
        <f t="shared" si="4"/>
        <v>1142.3217116155108</v>
      </c>
    </row>
    <row r="70" spans="1:7" x14ac:dyDescent="0.3">
      <c r="A70" t="s">
        <v>62</v>
      </c>
      <c r="B70" s="4">
        <f>SUM(B58:B69)</f>
        <v>15000</v>
      </c>
      <c r="C70" s="4">
        <f>SUM(C58:C69)</f>
        <v>-2000.0000000000002</v>
      </c>
      <c r="D70" s="4">
        <f>SUM(D58:D69)</f>
        <v>-500.00000000000006</v>
      </c>
      <c r="E70" s="4">
        <f>SUM(E58:E69)</f>
        <v>-2292.1394606138688</v>
      </c>
      <c r="F70" s="4">
        <f t="shared" ref="F70:G70" si="5">SUM(F58:F69)</f>
        <v>3499.9999999999995</v>
      </c>
      <c r="G70" s="4">
        <f t="shared" si="5"/>
        <v>13707.860539386127</v>
      </c>
    </row>
    <row r="74" spans="1:7" x14ac:dyDescent="0.3">
      <c r="B74" s="4"/>
      <c r="C74" s="4"/>
      <c r="D74" s="4"/>
      <c r="E74" s="4"/>
      <c r="F74" s="2"/>
    </row>
    <row r="75" spans="1:7" x14ac:dyDescent="0.3">
      <c r="B75" s="4"/>
      <c r="C75" s="4"/>
      <c r="D75" s="4"/>
      <c r="E75" s="4"/>
      <c r="F75" s="2"/>
    </row>
    <row r="76" spans="1:7" x14ac:dyDescent="0.3">
      <c r="B76" s="4"/>
      <c r="C76" s="4"/>
      <c r="D76" s="4"/>
      <c r="E7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1852C-6874-D746-832A-C8B7DE4192F7}">
  <dimension ref="A1:L76"/>
  <sheetViews>
    <sheetView tabSelected="1" zoomScaleNormal="100" workbookViewId="0">
      <selection activeCell="F19" sqref="F19"/>
    </sheetView>
  </sheetViews>
  <sheetFormatPr defaultColWidth="11.19921875" defaultRowHeight="15.6" x14ac:dyDescent="0.3"/>
  <cols>
    <col min="1" max="1" width="43.796875" customWidth="1"/>
    <col min="2" max="12" width="21.296875" customWidth="1"/>
  </cols>
  <sheetData>
    <row r="1" spans="1:9" x14ac:dyDescent="0.3">
      <c r="F1" s="15"/>
    </row>
    <row r="2" spans="1:9" ht="16.2" thickBot="1" x14ac:dyDescent="0.35">
      <c r="A2" s="15" t="s">
        <v>0</v>
      </c>
    </row>
    <row r="3" spans="1:9" x14ac:dyDescent="0.3">
      <c r="A3" s="13" t="s">
        <v>1</v>
      </c>
      <c r="B3" s="5"/>
      <c r="C3" s="5"/>
      <c r="D3" s="7"/>
      <c r="F3" s="13" t="s">
        <v>66</v>
      </c>
      <c r="G3" s="5"/>
      <c r="H3" s="7"/>
    </row>
    <row r="4" spans="1:9" x14ac:dyDescent="0.3">
      <c r="A4" s="6" t="s">
        <v>6</v>
      </c>
      <c r="B4" s="18" t="s">
        <v>2</v>
      </c>
      <c r="D4" s="8"/>
      <c r="F4" s="6" t="s">
        <v>74</v>
      </c>
      <c r="G4" s="24"/>
      <c r="H4" s="8"/>
    </row>
    <row r="5" spans="1:9" ht="16.2" thickBot="1" x14ac:dyDescent="0.35">
      <c r="A5" s="6" t="s">
        <v>4</v>
      </c>
      <c r="B5" s="18" t="s">
        <v>5</v>
      </c>
      <c r="D5" s="8"/>
      <c r="F5" s="9" t="s">
        <v>75</v>
      </c>
      <c r="G5" s="11"/>
      <c r="H5" s="12"/>
    </row>
    <row r="6" spans="1:9" x14ac:dyDescent="0.3">
      <c r="A6" s="6" t="s">
        <v>3</v>
      </c>
      <c r="B6" s="19">
        <v>45758</v>
      </c>
      <c r="D6" s="8"/>
    </row>
    <row r="7" spans="1:9" ht="16.2" thickBot="1" x14ac:dyDescent="0.35">
      <c r="A7" s="6"/>
      <c r="D7" s="8"/>
    </row>
    <row r="8" spans="1:9" x14ac:dyDescent="0.3">
      <c r="A8" s="14" t="s">
        <v>7</v>
      </c>
      <c r="D8" s="8"/>
      <c r="F8" s="13" t="s">
        <v>72</v>
      </c>
      <c r="G8" s="5"/>
      <c r="H8" s="5"/>
      <c r="I8" s="7"/>
    </row>
    <row r="9" spans="1:9" x14ac:dyDescent="0.3">
      <c r="A9" s="23" t="s">
        <v>8</v>
      </c>
      <c r="B9" s="16">
        <v>15000</v>
      </c>
      <c r="C9" s="4"/>
      <c r="D9" s="8"/>
      <c r="F9" s="6" t="s">
        <v>73</v>
      </c>
      <c r="G9" s="24"/>
      <c r="H9" s="24"/>
      <c r="I9" s="8"/>
    </row>
    <row r="10" spans="1:9" x14ac:dyDescent="0.3">
      <c r="A10" s="6" t="s">
        <v>9</v>
      </c>
      <c r="B10">
        <v>10</v>
      </c>
      <c r="D10" s="8"/>
      <c r="F10" s="6" t="s">
        <v>76</v>
      </c>
      <c r="G10" s="24"/>
      <c r="H10" s="24"/>
      <c r="I10" s="8"/>
    </row>
    <row r="11" spans="1:9" x14ac:dyDescent="0.3">
      <c r="A11" s="23" t="s">
        <v>11</v>
      </c>
      <c r="B11" s="16">
        <v>1500</v>
      </c>
      <c r="D11" s="8"/>
      <c r="F11" s="6" t="s">
        <v>77</v>
      </c>
      <c r="G11" s="24"/>
      <c r="H11" s="24"/>
      <c r="I11" s="8"/>
    </row>
    <row r="12" spans="1:9" x14ac:dyDescent="0.3">
      <c r="A12" s="23" t="s">
        <v>10</v>
      </c>
      <c r="B12" s="16">
        <v>500</v>
      </c>
      <c r="D12" s="8"/>
      <c r="F12" s="6" t="s">
        <v>78</v>
      </c>
      <c r="G12" s="24"/>
      <c r="H12" s="24"/>
      <c r="I12" s="8"/>
    </row>
    <row r="13" spans="1:9" ht="16.2" thickBot="1" x14ac:dyDescent="0.35">
      <c r="A13" s="6"/>
      <c r="D13" s="8"/>
      <c r="F13" s="9" t="s">
        <v>79</v>
      </c>
      <c r="G13" s="11"/>
      <c r="H13" s="11"/>
      <c r="I13" s="12"/>
    </row>
    <row r="14" spans="1:9" x14ac:dyDescent="0.3">
      <c r="A14" s="14" t="s">
        <v>12</v>
      </c>
      <c r="D14" s="8"/>
    </row>
    <row r="15" spans="1:9" x14ac:dyDescent="0.3">
      <c r="A15" s="23" t="s">
        <v>13</v>
      </c>
      <c r="B15" s="16">
        <v>50000</v>
      </c>
      <c r="D15" s="8"/>
    </row>
    <row r="16" spans="1:9" x14ac:dyDescent="0.3">
      <c r="A16" s="23" t="s">
        <v>14</v>
      </c>
      <c r="B16" s="16">
        <v>65000</v>
      </c>
      <c r="D16" s="8"/>
    </row>
    <row r="17" spans="1:4" x14ac:dyDescent="0.3">
      <c r="A17" s="6" t="s">
        <v>15</v>
      </c>
      <c r="B17" s="4">
        <f>B16-B15</f>
        <v>15000</v>
      </c>
      <c r="D17" s="8"/>
    </row>
    <row r="18" spans="1:4" x14ac:dyDescent="0.3">
      <c r="A18" s="6"/>
      <c r="D18" s="8"/>
    </row>
    <row r="19" spans="1:4" x14ac:dyDescent="0.3">
      <c r="A19" s="14" t="s">
        <v>16</v>
      </c>
      <c r="D19" s="8"/>
    </row>
    <row r="20" spans="1:4" x14ac:dyDescent="0.3">
      <c r="A20" s="23" t="s">
        <v>19</v>
      </c>
      <c r="B20" s="16">
        <v>35000</v>
      </c>
      <c r="D20" s="8"/>
    </row>
    <row r="21" spans="1:4" x14ac:dyDescent="0.3">
      <c r="A21" s="23" t="s">
        <v>18</v>
      </c>
      <c r="B21" s="16">
        <v>37000</v>
      </c>
      <c r="D21" s="8"/>
    </row>
    <row r="22" spans="1:4" x14ac:dyDescent="0.3">
      <c r="A22" s="6" t="s">
        <v>17</v>
      </c>
      <c r="B22" s="4">
        <f>B21-B20</f>
        <v>2000</v>
      </c>
      <c r="D22" s="8"/>
    </row>
    <row r="23" spans="1:4" x14ac:dyDescent="0.3">
      <c r="A23" s="6"/>
      <c r="D23" s="8"/>
    </row>
    <row r="24" spans="1:4" x14ac:dyDescent="0.3">
      <c r="A24" s="14" t="s">
        <v>20</v>
      </c>
      <c r="D24" s="8"/>
    </row>
    <row r="25" spans="1:4" x14ac:dyDescent="0.3">
      <c r="A25" s="23" t="s">
        <v>21</v>
      </c>
      <c r="B25" s="16">
        <v>10000</v>
      </c>
      <c r="D25" s="8"/>
    </row>
    <row r="26" spans="1:4" x14ac:dyDescent="0.3">
      <c r="A26" s="23" t="s">
        <v>22</v>
      </c>
      <c r="B26" s="16">
        <f>+B9-B25</f>
        <v>5000</v>
      </c>
      <c r="D26" s="8"/>
    </row>
    <row r="27" spans="1:4" x14ac:dyDescent="0.3">
      <c r="A27" s="23" t="s">
        <v>23</v>
      </c>
      <c r="B27" s="17">
        <v>5.5E-2</v>
      </c>
      <c r="D27" s="8"/>
    </row>
    <row r="28" spans="1:4" x14ac:dyDescent="0.3">
      <c r="A28" s="23" t="s">
        <v>24</v>
      </c>
      <c r="B28" s="18">
        <v>5</v>
      </c>
      <c r="D28" s="8"/>
    </row>
    <row r="29" spans="1:4" x14ac:dyDescent="0.3">
      <c r="A29" s="6" t="s">
        <v>25</v>
      </c>
      <c r="B29" s="1">
        <f>PMT(B27/12,B28*12,B25)</f>
        <v>-191.01162171782241</v>
      </c>
      <c r="D29" s="8"/>
    </row>
    <row r="30" spans="1:4" x14ac:dyDescent="0.3">
      <c r="A30" s="6" t="s">
        <v>26</v>
      </c>
      <c r="B30" s="4">
        <f>B29*12</f>
        <v>-2292.1394606138688</v>
      </c>
      <c r="D30" s="8"/>
    </row>
    <row r="31" spans="1:4" x14ac:dyDescent="0.3">
      <c r="A31" s="6"/>
      <c r="D31" s="8"/>
    </row>
    <row r="32" spans="1:4" x14ac:dyDescent="0.3">
      <c r="A32" s="14" t="s">
        <v>27</v>
      </c>
      <c r="D32" s="8"/>
    </row>
    <row r="33" spans="1:12" x14ac:dyDescent="0.3">
      <c r="A33" s="23" t="s">
        <v>28</v>
      </c>
      <c r="B33" s="16">
        <v>1000</v>
      </c>
      <c r="D33" s="8"/>
    </row>
    <row r="34" spans="1:12" x14ac:dyDescent="0.3">
      <c r="A34" s="23" t="s">
        <v>29</v>
      </c>
      <c r="B34" s="16">
        <v>2000</v>
      </c>
      <c r="D34" s="8"/>
    </row>
    <row r="35" spans="1:12" x14ac:dyDescent="0.3">
      <c r="A35" s="23" t="s">
        <v>30</v>
      </c>
      <c r="B35" s="16">
        <v>500</v>
      </c>
      <c r="D35" s="8"/>
    </row>
    <row r="36" spans="1:12" ht="16.2" thickBot="1" x14ac:dyDescent="0.35">
      <c r="A36" s="9" t="s">
        <v>31</v>
      </c>
      <c r="B36" s="10">
        <f>SUM(B33:B35)</f>
        <v>3500</v>
      </c>
      <c r="C36" s="11"/>
      <c r="D36" s="12"/>
    </row>
    <row r="38" spans="1:12" x14ac:dyDescent="0.3">
      <c r="A38" s="15" t="s">
        <v>32</v>
      </c>
    </row>
    <row r="39" spans="1:12" x14ac:dyDescent="0.3">
      <c r="A39" t="s">
        <v>33</v>
      </c>
      <c r="B39">
        <v>0</v>
      </c>
      <c r="C39">
        <v>1</v>
      </c>
      <c r="D39">
        <v>2</v>
      </c>
      <c r="E39">
        <v>3</v>
      </c>
      <c r="F39">
        <v>4</v>
      </c>
      <c r="G39">
        <v>5</v>
      </c>
      <c r="H39">
        <v>6</v>
      </c>
      <c r="I39">
        <v>7</v>
      </c>
      <c r="J39">
        <v>8</v>
      </c>
      <c r="K39">
        <v>9</v>
      </c>
      <c r="L39">
        <v>10</v>
      </c>
    </row>
    <row r="40" spans="1:12" x14ac:dyDescent="0.3">
      <c r="A40" t="s">
        <v>34</v>
      </c>
      <c r="B40" s="4">
        <f>-(B9)</f>
        <v>-15000</v>
      </c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3">
      <c r="A41" t="s">
        <v>35</v>
      </c>
      <c r="B41" s="4"/>
      <c r="C41" s="4">
        <f>B17</f>
        <v>15000</v>
      </c>
      <c r="D41" s="4">
        <f>C41*1.01</f>
        <v>15150</v>
      </c>
      <c r="E41" s="4">
        <f>D41*1.01</f>
        <v>15301.5</v>
      </c>
      <c r="F41" s="4">
        <f t="shared" ref="F41:L41" si="0">E41*1.01</f>
        <v>15454.514999999999</v>
      </c>
      <c r="G41" s="4">
        <f t="shared" si="0"/>
        <v>15609.060149999999</v>
      </c>
      <c r="H41" s="4">
        <f t="shared" si="0"/>
        <v>15765.150751499999</v>
      </c>
      <c r="I41" s="4">
        <f t="shared" si="0"/>
        <v>15922.802259014999</v>
      </c>
      <c r="J41" s="4">
        <f t="shared" si="0"/>
        <v>16082.03028160515</v>
      </c>
      <c r="K41" s="4">
        <f t="shared" si="0"/>
        <v>16242.850584421201</v>
      </c>
      <c r="L41" s="4">
        <f t="shared" si="0"/>
        <v>16405.279090265412</v>
      </c>
    </row>
    <row r="42" spans="1:12" x14ac:dyDescent="0.3">
      <c r="A42" t="s">
        <v>36</v>
      </c>
      <c r="B42" s="4"/>
      <c r="C42" s="4">
        <f>-B22</f>
        <v>-2000</v>
      </c>
      <c r="D42" s="4">
        <f>C42*1.03</f>
        <v>-2060</v>
      </c>
      <c r="E42" s="4">
        <f t="shared" ref="E42:L43" si="1">D42*1.03</f>
        <v>-2121.8000000000002</v>
      </c>
      <c r="F42" s="4">
        <f t="shared" si="1"/>
        <v>-2185.4540000000002</v>
      </c>
      <c r="G42" s="4">
        <f t="shared" si="1"/>
        <v>-2251.0176200000001</v>
      </c>
      <c r="H42" s="4">
        <f t="shared" si="1"/>
        <v>-2318.5481486000003</v>
      </c>
      <c r="I42" s="4">
        <f t="shared" si="1"/>
        <v>-2388.1045930580003</v>
      </c>
      <c r="J42" s="4">
        <f t="shared" si="1"/>
        <v>-2459.7477308497405</v>
      </c>
      <c r="K42" s="4">
        <f t="shared" si="1"/>
        <v>-2533.5401627752326</v>
      </c>
      <c r="L42" s="4">
        <f t="shared" si="1"/>
        <v>-2609.5463676584895</v>
      </c>
    </row>
    <row r="43" spans="1:12" x14ac:dyDescent="0.3">
      <c r="A43" t="s">
        <v>37</v>
      </c>
      <c r="B43" s="4"/>
      <c r="C43" s="4">
        <f>-(B12)</f>
        <v>-500</v>
      </c>
      <c r="D43" s="4">
        <f>C43*1.03</f>
        <v>-515</v>
      </c>
      <c r="E43" s="4">
        <f t="shared" si="1"/>
        <v>-530.45000000000005</v>
      </c>
      <c r="F43" s="4">
        <f t="shared" si="1"/>
        <v>-546.36350000000004</v>
      </c>
      <c r="G43" s="4">
        <f t="shared" si="1"/>
        <v>-562.75440500000002</v>
      </c>
      <c r="H43" s="4">
        <f t="shared" si="1"/>
        <v>-579.63703715000008</v>
      </c>
      <c r="I43" s="4">
        <f t="shared" si="1"/>
        <v>-597.02614826450008</v>
      </c>
      <c r="J43" s="4">
        <f t="shared" si="1"/>
        <v>-614.93693271243512</v>
      </c>
      <c r="K43" s="4">
        <f t="shared" si="1"/>
        <v>-633.38504069380815</v>
      </c>
      <c r="L43" s="4">
        <f t="shared" si="1"/>
        <v>-652.38659191462239</v>
      </c>
    </row>
    <row r="44" spans="1:12" x14ac:dyDescent="0.3">
      <c r="A44" t="s">
        <v>38</v>
      </c>
      <c r="B44" s="4"/>
      <c r="C44" s="4">
        <f>B30</f>
        <v>-2292.1394606138688</v>
      </c>
      <c r="D44" s="4">
        <f>B30</f>
        <v>-2292.1394606138688</v>
      </c>
      <c r="E44" s="4">
        <f>B30</f>
        <v>-2292.1394606138688</v>
      </c>
      <c r="F44" s="4">
        <f>B30</f>
        <v>-2292.1394606138688</v>
      </c>
      <c r="G44" s="4">
        <f>B30</f>
        <v>-2292.1394606138688</v>
      </c>
      <c r="H44" s="4">
        <f>B30</f>
        <v>-2292.1394606138688</v>
      </c>
      <c r="I44" s="4">
        <f>B30</f>
        <v>-2292.1394606138688</v>
      </c>
      <c r="J44" s="4">
        <f>B30</f>
        <v>-2292.1394606138688</v>
      </c>
      <c r="K44" s="4">
        <f>B30</f>
        <v>-2292.1394606138688</v>
      </c>
      <c r="L44" s="4">
        <f>B30</f>
        <v>-2292.1394606138688</v>
      </c>
    </row>
    <row r="45" spans="1:12" x14ac:dyDescent="0.3">
      <c r="A45" t="s">
        <v>39</v>
      </c>
      <c r="B45" s="4"/>
      <c r="C45" s="4">
        <f>B36</f>
        <v>3500</v>
      </c>
      <c r="D45" s="4">
        <f>B36</f>
        <v>3500</v>
      </c>
      <c r="E45" s="4">
        <f>B36</f>
        <v>3500</v>
      </c>
      <c r="F45" s="4">
        <f>B36</f>
        <v>3500</v>
      </c>
      <c r="G45" s="4">
        <f>B36</f>
        <v>3500</v>
      </c>
      <c r="H45" s="4">
        <f>B36</f>
        <v>3500</v>
      </c>
      <c r="I45" s="4">
        <f>B36</f>
        <v>3500</v>
      </c>
      <c r="J45" s="4">
        <f>B36</f>
        <v>3500</v>
      </c>
      <c r="K45" s="4">
        <f>B36</f>
        <v>3500</v>
      </c>
      <c r="L45" s="4">
        <f>B36</f>
        <v>3500</v>
      </c>
    </row>
    <row r="46" spans="1:12" x14ac:dyDescent="0.3">
      <c r="A46" t="s">
        <v>40</v>
      </c>
      <c r="B46" s="4">
        <f>SUM(B40:B45)</f>
        <v>-15000</v>
      </c>
      <c r="C46" s="4">
        <f>SUM(C40:C45)</f>
        <v>13707.860539386131</v>
      </c>
      <c r="D46" s="4">
        <f>SUM(D40:D45)</f>
        <v>13782.860539386131</v>
      </c>
      <c r="E46" s="4">
        <f t="shared" ref="E46:K46" si="2">SUM(E40:E45)</f>
        <v>13857.110539386131</v>
      </c>
      <c r="F46" s="4">
        <f t="shared" si="2"/>
        <v>13930.558039386131</v>
      </c>
      <c r="G46" s="4">
        <f t="shared" si="2"/>
        <v>14003.14866438613</v>
      </c>
      <c r="H46" s="4">
        <f t="shared" si="2"/>
        <v>14074.82610513613</v>
      </c>
      <c r="I46" s="4">
        <f t="shared" si="2"/>
        <v>14145.53205707863</v>
      </c>
      <c r="J46" s="4">
        <f t="shared" si="2"/>
        <v>14215.206157429106</v>
      </c>
      <c r="K46" s="4">
        <f t="shared" si="2"/>
        <v>14283.785920338292</v>
      </c>
      <c r="L46" s="4">
        <f>SUM(L40:L45)+B11</f>
        <v>15851.206670078431</v>
      </c>
    </row>
    <row r="47" spans="1:12" x14ac:dyDescent="0.3">
      <c r="A47" t="s">
        <v>41</v>
      </c>
      <c r="B47" s="4">
        <f>B46</f>
        <v>-15000</v>
      </c>
      <c r="C47" s="4">
        <f>B47+C46</f>
        <v>-1292.1394606138692</v>
      </c>
      <c r="D47" s="4">
        <f t="shared" ref="D47:L47" si="3">C47+D46</f>
        <v>12490.721078772262</v>
      </c>
      <c r="E47" s="4">
        <f t="shared" si="3"/>
        <v>26347.831618158394</v>
      </c>
      <c r="F47" s="4">
        <f t="shared" si="3"/>
        <v>40278.389657544525</v>
      </c>
      <c r="G47" s="4">
        <f t="shared" si="3"/>
        <v>54281.538321930653</v>
      </c>
      <c r="H47" s="4">
        <f t="shared" si="3"/>
        <v>68356.364427066786</v>
      </c>
      <c r="I47" s="4">
        <f>H47+I46</f>
        <v>82501.896484145414</v>
      </c>
      <c r="J47" s="4">
        <f t="shared" si="3"/>
        <v>96717.102641574515</v>
      </c>
      <c r="K47" s="4">
        <f t="shared" si="3"/>
        <v>111000.88856191281</v>
      </c>
      <c r="L47" s="4">
        <f t="shared" si="3"/>
        <v>126852.09523199125</v>
      </c>
    </row>
    <row r="49" spans="1:7" x14ac:dyDescent="0.3">
      <c r="A49" s="15" t="s">
        <v>42</v>
      </c>
    </row>
    <row r="50" spans="1:7" x14ac:dyDescent="0.3">
      <c r="A50" t="s">
        <v>44</v>
      </c>
      <c r="B50" cm="1">
        <f t="array" ref="B50">MATCH(TRUE(),C47:L47&gt;0,0)+(ABS(INDEX(B47:K47,MATCH(TRUE(),C47:L47&gt;0,0)))/INDEX(C46:L46,MATCH(TRUE(),C47:L47&gt;0,0)))</f>
        <v>2.0937497304657064</v>
      </c>
    </row>
    <row r="51" spans="1:7" x14ac:dyDescent="0.3">
      <c r="A51" t="s">
        <v>43</v>
      </c>
      <c r="B51" s="1">
        <f>NPV(0.05,C46:L46)+B46</f>
        <v>94075.347308993427</v>
      </c>
    </row>
    <row r="52" spans="1:7" x14ac:dyDescent="0.3">
      <c r="A52" t="s">
        <v>45</v>
      </c>
      <c r="B52" s="2">
        <f>IRR(B46:L46)</f>
        <v>0.91794269621428515</v>
      </c>
    </row>
    <row r="53" spans="1:7" x14ac:dyDescent="0.3">
      <c r="A53" t="s">
        <v>46</v>
      </c>
      <c r="B53" s="3">
        <f>(L47/ABS(B46))-1</f>
        <v>7.4568063487994163</v>
      </c>
    </row>
    <row r="54" spans="1:7" x14ac:dyDescent="0.3">
      <c r="A54" t="s">
        <v>47</v>
      </c>
      <c r="B54">
        <f>B51/ABS(B46)</f>
        <v>6.2716898205995619</v>
      </c>
      <c r="G54" s="4"/>
    </row>
    <row r="56" spans="1:7" x14ac:dyDescent="0.3">
      <c r="A56" s="15" t="s">
        <v>48</v>
      </c>
    </row>
    <row r="57" spans="1:7" x14ac:dyDescent="0.3">
      <c r="A57" t="s">
        <v>49</v>
      </c>
      <c r="B57" t="s">
        <v>63</v>
      </c>
      <c r="C57" t="s">
        <v>36</v>
      </c>
      <c r="D57" t="s">
        <v>37</v>
      </c>
      <c r="E57" t="s">
        <v>65</v>
      </c>
      <c r="F57" t="s">
        <v>39</v>
      </c>
      <c r="G57" t="s">
        <v>64</v>
      </c>
    </row>
    <row r="58" spans="1:7" x14ac:dyDescent="0.3">
      <c r="A58" t="s">
        <v>50</v>
      </c>
      <c r="B58" s="4">
        <f>B17/12</f>
        <v>1250</v>
      </c>
      <c r="C58" s="4">
        <f>-B22/12</f>
        <v>-166.66666666666666</v>
      </c>
      <c r="D58" s="4">
        <f>-B12/12</f>
        <v>-41.666666666666664</v>
      </c>
      <c r="E58" s="4">
        <f>B29</f>
        <v>-191.01162171782241</v>
      </c>
      <c r="F58" s="4">
        <f>B36/12</f>
        <v>291.66666666666669</v>
      </c>
      <c r="G58" s="4">
        <f t="shared" ref="G58:G69" si="4">SUM(B58:F58)</f>
        <v>1142.3217116155108</v>
      </c>
    </row>
    <row r="59" spans="1:7" x14ac:dyDescent="0.3">
      <c r="A59" t="s">
        <v>51</v>
      </c>
      <c r="B59" s="4">
        <f>B17/12</f>
        <v>1250</v>
      </c>
      <c r="C59" s="4">
        <f>-B22/12</f>
        <v>-166.66666666666666</v>
      </c>
      <c r="D59" s="4">
        <f>-B12/12</f>
        <v>-41.666666666666664</v>
      </c>
      <c r="E59" s="4">
        <f>B29</f>
        <v>-191.01162171782241</v>
      </c>
      <c r="F59" s="4">
        <f>B36/12</f>
        <v>291.66666666666669</v>
      </c>
      <c r="G59" s="4">
        <f t="shared" si="4"/>
        <v>1142.3217116155108</v>
      </c>
    </row>
    <row r="60" spans="1:7" x14ac:dyDescent="0.3">
      <c r="A60" t="s">
        <v>52</v>
      </c>
      <c r="B60" s="4">
        <f>B17/12</f>
        <v>1250</v>
      </c>
      <c r="C60" s="4">
        <f>-B22/12</f>
        <v>-166.66666666666666</v>
      </c>
      <c r="D60" s="4">
        <f>-B12/12</f>
        <v>-41.666666666666664</v>
      </c>
      <c r="E60" s="4">
        <f>B29</f>
        <v>-191.01162171782241</v>
      </c>
      <c r="F60" s="4">
        <f>B36/12</f>
        <v>291.66666666666669</v>
      </c>
      <c r="G60" s="4">
        <f t="shared" si="4"/>
        <v>1142.3217116155108</v>
      </c>
    </row>
    <row r="61" spans="1:7" x14ac:dyDescent="0.3">
      <c r="A61" t="s">
        <v>53</v>
      </c>
      <c r="B61" s="4">
        <f>B17/12</f>
        <v>1250</v>
      </c>
      <c r="C61" s="4">
        <f>-B22/12</f>
        <v>-166.66666666666666</v>
      </c>
      <c r="D61" s="4">
        <f>-B12/12</f>
        <v>-41.666666666666664</v>
      </c>
      <c r="E61" s="4">
        <f>B29</f>
        <v>-191.01162171782241</v>
      </c>
      <c r="F61" s="4">
        <f>B36/12</f>
        <v>291.66666666666669</v>
      </c>
      <c r="G61" s="4">
        <f t="shared" si="4"/>
        <v>1142.3217116155108</v>
      </c>
    </row>
    <row r="62" spans="1:7" x14ac:dyDescent="0.3">
      <c r="A62" t="s">
        <v>54</v>
      </c>
      <c r="B62" s="4">
        <f>B17/12</f>
        <v>1250</v>
      </c>
      <c r="C62" s="4">
        <f>-B22/12</f>
        <v>-166.66666666666666</v>
      </c>
      <c r="D62" s="4">
        <f>-B12/12</f>
        <v>-41.666666666666664</v>
      </c>
      <c r="E62" s="4">
        <f>B29</f>
        <v>-191.01162171782241</v>
      </c>
      <c r="F62" s="4">
        <f>B36/12</f>
        <v>291.66666666666669</v>
      </c>
      <c r="G62" s="4">
        <f t="shared" si="4"/>
        <v>1142.3217116155108</v>
      </c>
    </row>
    <row r="63" spans="1:7" x14ac:dyDescent="0.3">
      <c r="A63" t="s">
        <v>55</v>
      </c>
      <c r="B63" s="4">
        <f>B17/12</f>
        <v>1250</v>
      </c>
      <c r="C63" s="4">
        <f>-B22/12</f>
        <v>-166.66666666666666</v>
      </c>
      <c r="D63" s="4">
        <f>-B12/12</f>
        <v>-41.666666666666664</v>
      </c>
      <c r="E63" s="4">
        <f>B29</f>
        <v>-191.01162171782241</v>
      </c>
      <c r="F63" s="4">
        <f>B36/12</f>
        <v>291.66666666666669</v>
      </c>
      <c r="G63" s="4">
        <f t="shared" si="4"/>
        <v>1142.3217116155108</v>
      </c>
    </row>
    <row r="64" spans="1:7" x14ac:dyDescent="0.3">
      <c r="A64" t="s">
        <v>56</v>
      </c>
      <c r="B64" s="4">
        <f>B17/12</f>
        <v>1250</v>
      </c>
      <c r="C64" s="4">
        <f>-B22/12</f>
        <v>-166.66666666666666</v>
      </c>
      <c r="D64" s="4">
        <f>-B12/12</f>
        <v>-41.666666666666664</v>
      </c>
      <c r="E64" s="4">
        <f>B29</f>
        <v>-191.01162171782241</v>
      </c>
      <c r="F64" s="4">
        <f>B36/12</f>
        <v>291.66666666666669</v>
      </c>
      <c r="G64" s="4">
        <f t="shared" si="4"/>
        <v>1142.3217116155108</v>
      </c>
    </row>
    <row r="65" spans="1:7" x14ac:dyDescent="0.3">
      <c r="A65" t="s">
        <v>57</v>
      </c>
      <c r="B65" s="4">
        <f>B17/12</f>
        <v>1250</v>
      </c>
      <c r="C65" s="4">
        <f>-B22/12</f>
        <v>-166.66666666666666</v>
      </c>
      <c r="D65" s="4">
        <f>-B12/12</f>
        <v>-41.666666666666664</v>
      </c>
      <c r="E65" s="4">
        <f>B29</f>
        <v>-191.01162171782241</v>
      </c>
      <c r="F65" s="4">
        <f>B36/12</f>
        <v>291.66666666666669</v>
      </c>
      <c r="G65" s="4">
        <f t="shared" si="4"/>
        <v>1142.3217116155108</v>
      </c>
    </row>
    <row r="66" spans="1:7" x14ac:dyDescent="0.3">
      <c r="A66" t="s">
        <v>58</v>
      </c>
      <c r="B66" s="4">
        <f>B17/12</f>
        <v>1250</v>
      </c>
      <c r="C66" s="4">
        <f>-B22/12</f>
        <v>-166.66666666666666</v>
      </c>
      <c r="D66" s="4">
        <f>-B12/12</f>
        <v>-41.666666666666664</v>
      </c>
      <c r="E66" s="4">
        <f>B29</f>
        <v>-191.01162171782241</v>
      </c>
      <c r="F66" s="4">
        <f>B36/12</f>
        <v>291.66666666666669</v>
      </c>
      <c r="G66" s="4">
        <f t="shared" si="4"/>
        <v>1142.3217116155108</v>
      </c>
    </row>
    <row r="67" spans="1:7" x14ac:dyDescent="0.3">
      <c r="A67" t="s">
        <v>59</v>
      </c>
      <c r="B67" s="4">
        <f>B17/12</f>
        <v>1250</v>
      </c>
      <c r="C67" s="4">
        <f>-B22/12</f>
        <v>-166.66666666666666</v>
      </c>
      <c r="D67" s="4">
        <f>-B12/12</f>
        <v>-41.666666666666664</v>
      </c>
      <c r="E67" s="4">
        <f>B29</f>
        <v>-191.01162171782241</v>
      </c>
      <c r="F67" s="4">
        <f>B36/12</f>
        <v>291.66666666666669</v>
      </c>
      <c r="G67" s="4">
        <f t="shared" si="4"/>
        <v>1142.3217116155108</v>
      </c>
    </row>
    <row r="68" spans="1:7" x14ac:dyDescent="0.3">
      <c r="A68" t="s">
        <v>60</v>
      </c>
      <c r="B68" s="4">
        <f>B17/12</f>
        <v>1250</v>
      </c>
      <c r="C68" s="4">
        <f>-B22/12</f>
        <v>-166.66666666666666</v>
      </c>
      <c r="D68" s="4">
        <f>-B12/12</f>
        <v>-41.666666666666664</v>
      </c>
      <c r="E68" s="4">
        <f>B29</f>
        <v>-191.01162171782241</v>
      </c>
      <c r="F68" s="4">
        <f>B36/12</f>
        <v>291.66666666666669</v>
      </c>
      <c r="G68" s="4">
        <f t="shared" si="4"/>
        <v>1142.3217116155108</v>
      </c>
    </row>
    <row r="69" spans="1:7" x14ac:dyDescent="0.3">
      <c r="A69" t="s">
        <v>61</v>
      </c>
      <c r="B69" s="4">
        <f>B17/12</f>
        <v>1250</v>
      </c>
      <c r="C69" s="4">
        <f>-B22/12</f>
        <v>-166.66666666666666</v>
      </c>
      <c r="D69" s="4">
        <f>-B12/12</f>
        <v>-41.666666666666664</v>
      </c>
      <c r="E69" s="4">
        <f>B29</f>
        <v>-191.01162171782241</v>
      </c>
      <c r="F69" s="4">
        <f>B36/12</f>
        <v>291.66666666666669</v>
      </c>
      <c r="G69" s="4">
        <f t="shared" si="4"/>
        <v>1142.3217116155108</v>
      </c>
    </row>
    <row r="70" spans="1:7" x14ac:dyDescent="0.3">
      <c r="A70" t="s">
        <v>62</v>
      </c>
      <c r="B70" s="4">
        <f>SUM(B58:B69)</f>
        <v>15000</v>
      </c>
      <c r="C70" s="4">
        <f>SUM(C58:C69)</f>
        <v>-2000.0000000000002</v>
      </c>
      <c r="D70" s="4">
        <f>SUM(D58:D69)</f>
        <v>-500.00000000000006</v>
      </c>
      <c r="E70" s="4">
        <f>SUM(E58:E69)</f>
        <v>-2292.1394606138688</v>
      </c>
      <c r="F70" s="4">
        <f t="shared" ref="F70:G70" si="5">SUM(F58:F69)</f>
        <v>3499.9999999999995</v>
      </c>
      <c r="G70" s="4">
        <f t="shared" si="5"/>
        <v>13707.860539386127</v>
      </c>
    </row>
    <row r="74" spans="1:7" x14ac:dyDescent="0.3">
      <c r="B74" s="4"/>
      <c r="C74" s="4"/>
      <c r="D74" s="4"/>
      <c r="E74" s="4"/>
      <c r="F74" s="2"/>
    </row>
    <row r="75" spans="1:7" x14ac:dyDescent="0.3">
      <c r="B75" s="4"/>
      <c r="C75" s="4"/>
      <c r="D75" s="4"/>
      <c r="E75" s="4"/>
      <c r="F75" s="2"/>
    </row>
    <row r="76" spans="1:7" x14ac:dyDescent="0.3">
      <c r="B76" s="4"/>
      <c r="C76" s="4"/>
      <c r="D76" s="4"/>
      <c r="E7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Infrastructure Investment 1</vt:lpstr>
      <vt:lpstr>Infrastructure Investment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Ashley Pynes</cp:lastModifiedBy>
  <dcterms:created xsi:type="dcterms:W3CDTF">2025-04-11T19:56:40Z</dcterms:created>
  <dcterms:modified xsi:type="dcterms:W3CDTF">2025-05-22T18:08:39Z</dcterms:modified>
</cp:coreProperties>
</file>